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\Autotask Workplace\Skärholmen\EKONOMI\2018\T2 2018\"/>
    </mc:Choice>
  </mc:AlternateContent>
  <xr:revisionPtr revIDLastSave="0" documentId="13_ncr:1_{60140696-5843-48C4-B3AE-5CEAFAF35D9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018" sheetId="4" r:id="rId1"/>
    <sheet name="2017" sheetId="1" r:id="rId2"/>
    <sheet name="Blad2" sheetId="2" r:id="rId3"/>
    <sheet name="Blad3" sheetId="3" r:id="rId4"/>
  </sheets>
  <calcPr calcId="179021"/>
</workbook>
</file>

<file path=xl/calcChain.xml><?xml version="1.0" encoding="utf-8"?>
<calcChain xmlns="http://schemas.openxmlformats.org/spreadsheetml/2006/main">
  <c r="K7" i="4" l="1"/>
  <c r="K8" i="4"/>
  <c r="K6" i="4"/>
  <c r="K14" i="4"/>
  <c r="K15" i="4"/>
  <c r="K17" i="4"/>
  <c r="K19" i="4"/>
  <c r="K20" i="4"/>
  <c r="K21" i="4"/>
  <c r="K22" i="4"/>
  <c r="K12" i="4"/>
  <c r="J23" i="4"/>
  <c r="I23" i="4" l="1"/>
  <c r="H18" i="4" l="1"/>
  <c r="G18" i="4" l="1"/>
  <c r="K18" i="4" s="1"/>
  <c r="G23" i="4"/>
  <c r="K23" i="4" s="1"/>
  <c r="G16" i="4"/>
  <c r="K16" i="4" s="1"/>
  <c r="G13" i="4"/>
  <c r="K13" i="4" s="1"/>
  <c r="C18" i="4" l="1"/>
  <c r="F14" i="4" l="1"/>
  <c r="F15" i="4"/>
  <c r="Q15" i="4" s="1"/>
  <c r="F16" i="4"/>
  <c r="F18" i="4"/>
  <c r="F19" i="4"/>
  <c r="F20" i="4"/>
  <c r="F21" i="4"/>
  <c r="F22" i="4"/>
  <c r="F12" i="4"/>
  <c r="F7" i="4"/>
  <c r="F8" i="4"/>
  <c r="F6" i="4"/>
  <c r="E23" i="4"/>
  <c r="E13" i="4"/>
  <c r="D23" i="4"/>
  <c r="D17" i="4"/>
  <c r="F17" i="4" s="1"/>
  <c r="D13" i="4"/>
  <c r="C13" i="4" l="1"/>
  <c r="F13" i="4" s="1"/>
  <c r="B23" i="4"/>
  <c r="F23" i="4" s="1"/>
  <c r="O14" i="1" l="1"/>
  <c r="T24" i="4" l="1"/>
  <c r="S24" i="4"/>
  <c r="H24" i="4"/>
  <c r="E24" i="4"/>
  <c r="D24" i="4"/>
  <c r="Q22" i="4"/>
  <c r="R22" i="4" s="1"/>
  <c r="Q19" i="4"/>
  <c r="R19" i="4" s="1"/>
  <c r="Q18" i="4"/>
  <c r="R18" i="4" s="1"/>
  <c r="Q17" i="4"/>
  <c r="R17" i="4" s="1"/>
  <c r="O24" i="4"/>
  <c r="N24" i="4"/>
  <c r="M24" i="4"/>
  <c r="M25" i="4" s="1"/>
  <c r="L24" i="4"/>
  <c r="J24" i="4"/>
  <c r="I24" i="4"/>
  <c r="G24" i="4"/>
  <c r="C24" i="4"/>
  <c r="Q12" i="4"/>
  <c r="R12" i="4" s="1"/>
  <c r="T9" i="4"/>
  <c r="S9" i="4"/>
  <c r="O9" i="4"/>
  <c r="N9" i="4"/>
  <c r="M9" i="4"/>
  <c r="L9" i="4"/>
  <c r="K9" i="4"/>
  <c r="J9" i="4"/>
  <c r="I9" i="4"/>
  <c r="H9" i="4"/>
  <c r="G9" i="4"/>
  <c r="E9" i="4"/>
  <c r="D9" i="4"/>
  <c r="C9" i="4"/>
  <c r="B9" i="4"/>
  <c r="Q8" i="4"/>
  <c r="Q7" i="4"/>
  <c r="R7" i="4" s="1"/>
  <c r="Q6" i="4"/>
  <c r="R6" i="4" s="1"/>
  <c r="G25" i="4" l="1"/>
  <c r="T25" i="4"/>
  <c r="I25" i="4"/>
  <c r="D25" i="4"/>
  <c r="E25" i="4"/>
  <c r="L25" i="4"/>
  <c r="C25" i="4"/>
  <c r="H25" i="4"/>
  <c r="F9" i="4"/>
  <c r="Q14" i="4"/>
  <c r="R14" i="4" s="1"/>
  <c r="Q20" i="4"/>
  <c r="R20" i="4" s="1"/>
  <c r="Q16" i="4"/>
  <c r="R16" i="4" s="1"/>
  <c r="Q21" i="4"/>
  <c r="R21" i="4" s="1"/>
  <c r="S25" i="4"/>
  <c r="J25" i="4"/>
  <c r="N25" i="4"/>
  <c r="O25" i="4"/>
  <c r="Q23" i="4"/>
  <c r="R23" i="4" s="1"/>
  <c r="P24" i="4"/>
  <c r="B24" i="4"/>
  <c r="F24" i="4" s="1"/>
  <c r="K24" i="4"/>
  <c r="K25" i="4" s="1"/>
  <c r="P14" i="1"/>
  <c r="P16" i="1"/>
  <c r="P18" i="1"/>
  <c r="P19" i="1"/>
  <c r="P20" i="1"/>
  <c r="P21" i="1"/>
  <c r="P22" i="1"/>
  <c r="P12" i="1"/>
  <c r="Q9" i="4" l="1"/>
  <c r="R9" i="4" s="1"/>
  <c r="B25" i="4"/>
  <c r="F25" i="4" s="1"/>
  <c r="Q13" i="4"/>
  <c r="R13" i="4" s="1"/>
  <c r="Q24" i="4"/>
  <c r="R24" i="4" s="1"/>
  <c r="O13" i="1"/>
  <c r="Q25" i="4" l="1"/>
  <c r="N13" i="1"/>
  <c r="M23" i="1" l="1"/>
  <c r="P23" i="1" s="1"/>
  <c r="M17" i="1"/>
  <c r="P17" i="1" s="1"/>
  <c r="M15" i="1" l="1"/>
  <c r="P15" i="1" s="1"/>
  <c r="M13" i="1"/>
  <c r="G13" i="1" l="1"/>
  <c r="G23" i="1"/>
  <c r="L13" i="1" l="1"/>
  <c r="P13" i="1" s="1"/>
  <c r="P24" i="1" s="1"/>
  <c r="J13" i="1" l="1"/>
  <c r="I13" i="1"/>
  <c r="K13" i="1" s="1"/>
  <c r="K14" i="1"/>
  <c r="K15" i="1"/>
  <c r="K16" i="1"/>
  <c r="K17" i="1"/>
  <c r="K18" i="1"/>
  <c r="K19" i="1"/>
  <c r="K20" i="1"/>
  <c r="K21" i="1"/>
  <c r="K22" i="1"/>
  <c r="K23" i="1"/>
  <c r="K12" i="1"/>
  <c r="K9" i="1"/>
  <c r="K24" i="1" l="1"/>
  <c r="K25" i="1" s="1"/>
  <c r="S6" i="1" l="1"/>
  <c r="E13" i="1" l="1"/>
  <c r="E23" i="1"/>
  <c r="F14" i="1"/>
  <c r="Q14" i="1" s="1"/>
  <c r="F15" i="1"/>
  <c r="Q15" i="1" s="1"/>
  <c r="F17" i="1"/>
  <c r="Q17" i="1" s="1"/>
  <c r="F18" i="1"/>
  <c r="Q18" i="1" s="1"/>
  <c r="F19" i="1"/>
  <c r="Q19" i="1" s="1"/>
  <c r="F20" i="1"/>
  <c r="Q20" i="1" s="1"/>
  <c r="F21" i="1"/>
  <c r="Q21" i="1" s="1"/>
  <c r="F22" i="1"/>
  <c r="Q22" i="1" s="1"/>
  <c r="F23" i="1"/>
  <c r="Q23" i="1" s="1"/>
  <c r="F12" i="1"/>
  <c r="Q12" i="1" s="1"/>
  <c r="F7" i="1"/>
  <c r="Q7" i="1" s="1"/>
  <c r="F8" i="1"/>
  <c r="Q8" i="1" s="1"/>
  <c r="F6" i="1"/>
  <c r="Q6" i="1" s="1"/>
  <c r="D13" i="1" l="1"/>
  <c r="D16" i="1"/>
  <c r="F16" i="1" s="1"/>
  <c r="Q16" i="1" s="1"/>
  <c r="C13" i="1"/>
  <c r="B13" i="1"/>
  <c r="F13" i="1" s="1"/>
  <c r="Q13" i="1" s="1"/>
  <c r="R22" i="1" l="1"/>
  <c r="T9" i="1" l="1"/>
  <c r="T24" i="1" l="1"/>
  <c r="S24" i="1"/>
  <c r="S9" i="1"/>
  <c r="R18" i="1"/>
  <c r="R19" i="1"/>
  <c r="R20" i="1"/>
  <c r="S25" i="1" l="1"/>
  <c r="R12" i="1" l="1"/>
  <c r="C9" i="1"/>
  <c r="D9" i="1"/>
  <c r="E9" i="1"/>
  <c r="F9" i="1" s="1"/>
  <c r="G9" i="1"/>
  <c r="H9" i="1"/>
  <c r="I9" i="1"/>
  <c r="J9" i="1"/>
  <c r="L9" i="1"/>
  <c r="M9" i="1"/>
  <c r="N9" i="1"/>
  <c r="O9" i="1"/>
  <c r="B9" i="1"/>
  <c r="Q9" i="1" l="1"/>
  <c r="R9" i="1"/>
  <c r="C24" i="1"/>
  <c r="C25" i="1" s="1"/>
  <c r="D24" i="1"/>
  <c r="D25" i="1" s="1"/>
  <c r="E24" i="1"/>
  <c r="G24" i="1"/>
  <c r="H24" i="1"/>
  <c r="I24" i="1"/>
  <c r="I25" i="1" s="1"/>
  <c r="J24" i="1"/>
  <c r="L24" i="1"/>
  <c r="L25" i="1" s="1"/>
  <c r="M24" i="1"/>
  <c r="M25" i="1" s="1"/>
  <c r="N24" i="1"/>
  <c r="N25" i="1" s="1"/>
  <c r="O24" i="1"/>
  <c r="O25" i="1" s="1"/>
  <c r="B24" i="1"/>
  <c r="R17" i="1"/>
  <c r="R23" i="1"/>
  <c r="R7" i="1"/>
  <c r="R13" i="1"/>
  <c r="R14" i="1"/>
  <c r="R16" i="1"/>
  <c r="R15" i="1"/>
  <c r="R6" i="1"/>
  <c r="G25" i="1" l="1"/>
  <c r="E25" i="1"/>
  <c r="F24" i="1"/>
  <c r="Q24" i="1" s="1"/>
  <c r="J25" i="1"/>
  <c r="H25" i="1"/>
  <c r="B25" i="1"/>
  <c r="F25" i="1" l="1"/>
  <c r="Q25" i="1" s="1"/>
  <c r="R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Bergh</author>
  </authors>
  <commentList>
    <comment ref="O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Cecilia Bergh:</t>
        </r>
        <r>
          <rPr>
            <sz val="9"/>
            <color indexed="81"/>
            <rFont val="Tahoma"/>
            <charset val="1"/>
          </rPr>
          <t xml:space="preserve">
UUS okt-dec
Bergholm faktura nov-dec
</t>
        </r>
      </text>
    </comment>
    <comment ref="I15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Cecilia Bergh:</t>
        </r>
        <r>
          <rPr>
            <sz val="9"/>
            <color indexed="81"/>
            <rFont val="Tahoma"/>
            <charset val="1"/>
          </rPr>
          <t xml:space="preserve">
Komm.stöd/Åqvist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Bergh</author>
  </authors>
  <commentList>
    <comment ref="O1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Cecilia Bergh:</t>
        </r>
        <r>
          <rPr>
            <sz val="9"/>
            <color indexed="81"/>
            <rFont val="Tahoma"/>
            <charset val="1"/>
          </rPr>
          <t xml:space="preserve">
UUS okt-dec
Bergholm faktura nov-dec
</t>
        </r>
      </text>
    </comment>
  </commentList>
</comments>
</file>

<file path=xl/sharedStrings.xml><?xml version="1.0" encoding="utf-8"?>
<sst xmlns="http://schemas.openxmlformats.org/spreadsheetml/2006/main" count="86" uniqueCount="48">
  <si>
    <t>Intäkter</t>
  </si>
  <si>
    <t>Medlemsavgifter</t>
  </si>
  <si>
    <t>Serviceavgifter</t>
  </si>
  <si>
    <t>Februari</t>
  </si>
  <si>
    <t>Januari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</si>
  <si>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</si>
  <si>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</si>
  <si>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</si>
  <si>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</si>
  <si>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</si>
  <si>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</si>
  <si>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</si>
  <si>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</si>
  <si>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</si>
  <si>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</si>
  <si>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Kostnader</t>
  </si>
  <si>
    <t>Lokalkostnader</t>
  </si>
  <si>
    <t>Kontorskostnader</t>
  </si>
  <si>
    <t>Redovisning o revisor</t>
  </si>
  <si>
    <t>Reklam o Pr</t>
  </si>
  <si>
    <t>Övriga kostnader</t>
  </si>
  <si>
    <t>Summa</t>
  </si>
  <si>
    <t>Övriga intäkter</t>
  </si>
  <si>
    <t>Projektverksamhet</t>
  </si>
  <si>
    <t>Personal, köpta tj.</t>
  </si>
  <si>
    <t>Finansiella kostn/intäkter</t>
  </si>
  <si>
    <t>Trygghetsbesiktning</t>
  </si>
  <si>
    <t>Utredningar</t>
  </si>
  <si>
    <t>Lämnade bidrag</t>
  </si>
  <si>
    <t>Studieresa</t>
  </si>
  <si>
    <t>Annons södra sidan</t>
  </si>
  <si>
    <t xml:space="preserve"> </t>
  </si>
  <si>
    <t>% budget</t>
  </si>
  <si>
    <t>Uppföljning Skärholmen 2017</t>
  </si>
  <si>
    <t>Utfall 2016</t>
  </si>
  <si>
    <t>Budget 2017</t>
  </si>
  <si>
    <t>Ack.  2017</t>
  </si>
  <si>
    <t>Tertial 1</t>
  </si>
  <si>
    <t>Tertial 2</t>
  </si>
  <si>
    <t>Rörelseresultat</t>
  </si>
  <si>
    <t>Tertial 3</t>
  </si>
  <si>
    <t>Uppföljning Skärholmen 2018</t>
  </si>
  <si>
    <t>Ack.  2018</t>
  </si>
  <si>
    <t>Budget 2018</t>
  </si>
  <si>
    <t>Utfall 2017</t>
  </si>
  <si>
    <t>Övriga köpta tjänster</t>
  </si>
  <si>
    <t>2018-02-05/cb</t>
  </si>
  <si>
    <t>2018-09-10/cb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</si>
</sst>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/>
    <xf numFmtId="0" fontId="0" fillId="2" borderId="0" xfId="0" applyFill="1"/>
    <xf numFmtId="3" fontId="1" fillId="2" borderId="0" xfId="0" applyNumberFormat="1" applyFont="1" applyFill="1"/>
    <xf numFmtId="3" fontId="1" fillId="0" borderId="1" xfId="0" applyNumberFormat="1" applyFont="1" applyBorder="1"/>
    <xf numFmtId="3" fontId="0" fillId="0" borderId="1" xfId="0" applyNumberFormat="1" applyBorder="1"/>
    <xf numFmtId="3" fontId="1" fillId="0" borderId="2" xfId="0" applyNumberFormat="1" applyFont="1" applyBorder="1"/>
    <xf numFmtId="3" fontId="0" fillId="0" borderId="2" xfId="0" applyNumberForma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165" fontId="0" fillId="0" borderId="0" xfId="0" applyNumberFormat="1"/>
    <xf numFmtId="165" fontId="1" fillId="0" borderId="0" xfId="0" applyNumberFormat="1" applyFont="1"/>
    <xf numFmtId="3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workbookViewId="0">
      <selection activeCell="H6" sqref="H6"/>
    </sheetView>
  </sheetViews>
  <sheetFormatPr defaultRowHeight="12.75" x14ac:dyDescent="0.2"/>
  <cols>
    <col min="1" max="1" width="20" customWidth="1"/>
    <col min="2" max="5" width="9.140625" style="1" customWidth="1"/>
    <col min="6" max="11" width="9.140625" style="1"/>
    <col min="12" max="12" width="11.5703125" style="1" hidden="1" customWidth="1"/>
    <col min="13" max="13" width="9.140625" style="1" hidden="1" customWidth="1"/>
    <col min="14" max="14" width="10.28515625" style="1" hidden="1" customWidth="1"/>
    <col min="15" max="16" width="10.5703125" style="1" hidden="1" customWidth="1"/>
    <col min="17" max="17" width="10" style="1" bestFit="1" customWidth="1"/>
    <col min="18" max="18" width="9.28515625" bestFit="1" customWidth="1"/>
    <col min="19" max="19" width="12" bestFit="1" customWidth="1"/>
    <col min="20" max="20" width="10.28515625" style="1" bestFit="1" customWidth="1"/>
  </cols>
  <sheetData>
    <row r="1" spans="1:20" ht="23.25" x14ac:dyDescent="0.35">
      <c r="A1" s="4" t="s">
        <v>41</v>
      </c>
    </row>
    <row r="4" spans="1:20" s="2" customFormat="1" ht="21.95" customHeight="1" x14ac:dyDescent="0.25">
      <c r="B4" s="3" t="s">
        <v>4</v>
      </c>
      <c r="C4" s="3" t="s">
        <v>3</v>
      </c>
      <c r="D4" s="3" t="s">
        <v>5</v>
      </c>
      <c r="E4" s="3" t="s">
        <v>6</v>
      </c>
      <c r="F4" s="19" t="s">
        <v>37</v>
      </c>
      <c r="G4" s="3" t="s">
        <v>7</v>
      </c>
      <c r="H4" s="3" t="s">
        <v>8</v>
      </c>
      <c r="I4" s="3" t="s">
        <v>9</v>
      </c>
      <c r="J4" s="3" t="s">
        <v>10</v>
      </c>
      <c r="K4" s="19" t="s">
        <v>38</v>
      </c>
      <c r="L4" s="3" t="s">
        <v>11</v>
      </c>
      <c r="M4" s="3" t="s">
        <v>12</v>
      </c>
      <c r="N4" s="3" t="s">
        <v>13</v>
      </c>
      <c r="O4" s="3" t="s">
        <v>14</v>
      </c>
      <c r="P4" s="19" t="s">
        <v>40</v>
      </c>
      <c r="Q4" s="13" t="s">
        <v>42</v>
      </c>
      <c r="R4" s="2" t="s">
        <v>32</v>
      </c>
      <c r="S4" s="8" t="s">
        <v>43</v>
      </c>
      <c r="T4" s="11" t="s">
        <v>44</v>
      </c>
    </row>
    <row r="5" spans="1:20" ht="21.95" customHeight="1" x14ac:dyDescent="0.2">
      <c r="A5" s="2" t="s">
        <v>0</v>
      </c>
      <c r="Q5" s="14"/>
      <c r="S5" s="9"/>
      <c r="T5" s="12"/>
    </row>
    <row r="6" spans="1:20" ht="21.95" customHeight="1" x14ac:dyDescent="0.2">
      <c r="A6" t="s">
        <v>2</v>
      </c>
      <c r="B6" s="1">
        <v>1703960</v>
      </c>
      <c r="C6" s="1">
        <v>9000</v>
      </c>
      <c r="D6" s="1">
        <v>67715</v>
      </c>
      <c r="F6" s="3">
        <f>SUM(B6:E6)</f>
        <v>1780675</v>
      </c>
      <c r="K6" s="3">
        <f>SUM(G6:J6)</f>
        <v>0</v>
      </c>
      <c r="Q6" s="14">
        <f>SUM(B6:O6)-F6-K6</f>
        <v>1780675</v>
      </c>
      <c r="R6" s="17">
        <f>SUM(Q6/S6)</f>
        <v>1.0474558823529412</v>
      </c>
      <c r="S6" s="9">
        <v>1700000</v>
      </c>
      <c r="T6" s="12">
        <v>1295150</v>
      </c>
    </row>
    <row r="7" spans="1:20" ht="21.95" customHeight="1" x14ac:dyDescent="0.2">
      <c r="A7" t="s">
        <v>1</v>
      </c>
      <c r="B7" s="1">
        <v>18000</v>
      </c>
      <c r="C7" s="1">
        <v>1000</v>
      </c>
      <c r="D7" s="1">
        <v>2000</v>
      </c>
      <c r="F7" s="3">
        <f t="shared" ref="F7:F8" si="0">SUM(B7:E7)</f>
        <v>21000</v>
      </c>
      <c r="K7" s="3">
        <f t="shared" ref="K7:K8" si="1">SUM(G7:J7)</f>
        <v>0</v>
      </c>
      <c r="Q7" s="14">
        <f t="shared" ref="Q7:Q8" si="2">SUM(B7:O7)-F7-K7</f>
        <v>21000</v>
      </c>
      <c r="R7" s="17">
        <f t="shared" ref="R7" si="3">SUM(Q7/S7)</f>
        <v>1.1666666666666667</v>
      </c>
      <c r="S7" s="9">
        <v>18000</v>
      </c>
      <c r="T7" s="12">
        <v>18000</v>
      </c>
    </row>
    <row r="8" spans="1:20" ht="21.95" customHeight="1" x14ac:dyDescent="0.2">
      <c r="A8" t="s">
        <v>22</v>
      </c>
      <c r="F8" s="3">
        <f t="shared" si="0"/>
        <v>0</v>
      </c>
      <c r="J8" s="1">
        <v>10341</v>
      </c>
      <c r="K8" s="3">
        <f t="shared" si="1"/>
        <v>10341</v>
      </c>
      <c r="Q8" s="14">
        <f t="shared" si="2"/>
        <v>10341</v>
      </c>
      <c r="R8" s="17"/>
      <c r="S8" s="9">
        <v>0</v>
      </c>
      <c r="T8" s="12">
        <v>1045</v>
      </c>
    </row>
    <row r="9" spans="1:20" s="2" customFormat="1" ht="21.95" customHeight="1" x14ac:dyDescent="0.2">
      <c r="A9" s="2" t="s">
        <v>21</v>
      </c>
      <c r="B9" s="3">
        <f t="shared" ref="B9:O9" si="4">SUM(B6:B8)</f>
        <v>1721960</v>
      </c>
      <c r="C9" s="3">
        <f t="shared" si="4"/>
        <v>10000</v>
      </c>
      <c r="D9" s="3">
        <f t="shared" si="4"/>
        <v>69715</v>
      </c>
      <c r="E9" s="3">
        <f t="shared" si="4"/>
        <v>0</v>
      </c>
      <c r="F9" s="3">
        <f t="shared" ref="F9" si="5">SUM(B9:E9)</f>
        <v>1801675</v>
      </c>
      <c r="G9" s="3">
        <f t="shared" si="4"/>
        <v>0</v>
      </c>
      <c r="H9" s="3">
        <f t="shared" si="4"/>
        <v>0</v>
      </c>
      <c r="I9" s="3">
        <f t="shared" si="4"/>
        <v>0</v>
      </c>
      <c r="J9" s="3">
        <f t="shared" si="4"/>
        <v>10341</v>
      </c>
      <c r="K9" s="3">
        <f t="shared" si="4"/>
        <v>10341</v>
      </c>
      <c r="L9" s="3">
        <f t="shared" si="4"/>
        <v>0</v>
      </c>
      <c r="M9" s="3">
        <f t="shared" si="4"/>
        <v>0</v>
      </c>
      <c r="N9" s="3">
        <f t="shared" si="4"/>
        <v>0</v>
      </c>
      <c r="O9" s="3">
        <f t="shared" si="4"/>
        <v>0</v>
      </c>
      <c r="P9" s="3">
        <v>0</v>
      </c>
      <c r="Q9" s="14">
        <f>SUM(B9:O9)-F9-K9</f>
        <v>1812016</v>
      </c>
      <c r="R9" s="18">
        <f>SUM(Q9/S9)</f>
        <v>1.0547240977881258</v>
      </c>
      <c r="S9" s="8">
        <f>SUM(S6:S8)</f>
        <v>1718000</v>
      </c>
      <c r="T9" s="11">
        <f>SUM(T6:T8)</f>
        <v>1314195</v>
      </c>
    </row>
    <row r="10" spans="1:20" ht="21.95" customHeight="1" x14ac:dyDescent="0.2">
      <c r="F10" s="3"/>
      <c r="K10" s="3"/>
      <c r="Q10" s="14"/>
      <c r="S10" s="9"/>
      <c r="T10" s="12"/>
    </row>
    <row r="11" spans="1:20" ht="21.95" customHeight="1" x14ac:dyDescent="0.2">
      <c r="A11" s="2" t="s">
        <v>15</v>
      </c>
      <c r="F11" s="3"/>
      <c r="K11" s="3"/>
      <c r="Q11" s="14"/>
      <c r="S11" s="9"/>
      <c r="T11" s="12"/>
    </row>
    <row r="12" spans="1:20" ht="21.95" customHeight="1" x14ac:dyDescent="0.2">
      <c r="A12" t="s">
        <v>16</v>
      </c>
      <c r="B12" s="1">
        <v>-11350</v>
      </c>
      <c r="C12" s="1">
        <v>-11350</v>
      </c>
      <c r="D12" s="1">
        <v>-11350</v>
      </c>
      <c r="E12" s="1">
        <v>-11350.17</v>
      </c>
      <c r="F12" s="3">
        <f>SUM(B12:E12)</f>
        <v>-45400.17</v>
      </c>
      <c r="G12" s="1">
        <v>-11700</v>
      </c>
      <c r="H12" s="1">
        <v>-11700.17</v>
      </c>
      <c r="I12" s="1">
        <v>-11700</v>
      </c>
      <c r="J12" s="1">
        <v>-11700</v>
      </c>
      <c r="K12" s="3">
        <f>SUM(G12:J12)</f>
        <v>-46800.17</v>
      </c>
      <c r="Q12" s="14">
        <f>SUM(B12:O12)-F12-K12</f>
        <v>-92200.340000000011</v>
      </c>
      <c r="R12" s="17">
        <f>SUM(Q12/S12)</f>
        <v>0.65857385714285721</v>
      </c>
      <c r="S12" s="9">
        <v>-140000</v>
      </c>
      <c r="T12" s="16">
        <v>-135450</v>
      </c>
    </row>
    <row r="13" spans="1:20" ht="21.95" customHeight="1" x14ac:dyDescent="0.2">
      <c r="A13" t="s">
        <v>17</v>
      </c>
      <c r="C13" s="1">
        <f>-120.42-583.84-712.8-15.09-443.39</f>
        <v>-1875.54</v>
      </c>
      <c r="D13" s="1">
        <f>-6139.2-52.68</f>
        <v>-6191.88</v>
      </c>
      <c r="E13" s="1">
        <f>-350-82.8-233.18</f>
        <v>-665.98</v>
      </c>
      <c r="F13" s="3">
        <f t="shared" ref="F13:F23" si="6">SUM(B13:E13)</f>
        <v>-8733.4</v>
      </c>
      <c r="G13" s="1">
        <f>-2654.4-4756</f>
        <v>-7410.4</v>
      </c>
      <c r="H13" s="1">
        <v>-3597.6</v>
      </c>
      <c r="I13" s="1">
        <v>-355.08</v>
      </c>
      <c r="J13" s="1">
        <v>-2614.4</v>
      </c>
      <c r="K13" s="3">
        <f t="shared" ref="K13:K23" si="7">SUM(G13:J13)</f>
        <v>-13977.48</v>
      </c>
      <c r="Q13" s="14">
        <f t="shared" ref="Q13:Q22" si="8">SUM(B13:O13)-F13-K13</f>
        <v>-22710.879999999994</v>
      </c>
      <c r="R13" s="17">
        <f t="shared" ref="R13:R24" si="9">SUM(Q13/S13)</f>
        <v>0.37851466666666655</v>
      </c>
      <c r="S13" s="9">
        <v>-60000</v>
      </c>
      <c r="T13" s="16">
        <v>-46752</v>
      </c>
    </row>
    <row r="14" spans="1:20" ht="21.95" customHeight="1" x14ac:dyDescent="0.2">
      <c r="A14" t="s">
        <v>24</v>
      </c>
      <c r="B14" s="1">
        <v>-71725</v>
      </c>
      <c r="C14" s="1">
        <v>-122401</v>
      </c>
      <c r="D14" s="1">
        <v>-78375.199999999997</v>
      </c>
      <c r="E14" s="1">
        <v>-176105</v>
      </c>
      <c r="F14" s="3">
        <f t="shared" si="6"/>
        <v>-448606.2</v>
      </c>
      <c r="H14" s="1">
        <v>-245644</v>
      </c>
      <c r="I14" s="1">
        <v>-33195</v>
      </c>
      <c r="J14" s="1">
        <v>-13326</v>
      </c>
      <c r="K14" s="3">
        <f t="shared" si="7"/>
        <v>-292165</v>
      </c>
      <c r="Q14" s="14">
        <f t="shared" si="8"/>
        <v>-740771.2</v>
      </c>
      <c r="R14" s="17">
        <f t="shared" si="9"/>
        <v>0.64414886956521733</v>
      </c>
      <c r="S14" s="9">
        <v>-1150000</v>
      </c>
      <c r="T14" s="16">
        <v>-1139435</v>
      </c>
    </row>
    <row r="15" spans="1:20" ht="21.95" customHeight="1" x14ac:dyDescent="0.2">
      <c r="A15" t="s">
        <v>45</v>
      </c>
      <c r="F15" s="3">
        <f t="shared" si="6"/>
        <v>0</v>
      </c>
      <c r="I15" s="1">
        <v>-8700</v>
      </c>
      <c r="K15" s="3">
        <f t="shared" si="7"/>
        <v>-8700</v>
      </c>
      <c r="Q15" s="14">
        <f t="shared" si="8"/>
        <v>-8700</v>
      </c>
      <c r="R15" s="17"/>
      <c r="S15" s="9">
        <v>-80000</v>
      </c>
      <c r="T15" s="16"/>
    </row>
    <row r="16" spans="1:20" ht="21.95" customHeight="1" x14ac:dyDescent="0.2">
      <c r="A16" t="s">
        <v>19</v>
      </c>
      <c r="D16" s="1">
        <v>-5842.4</v>
      </c>
      <c r="E16" s="1">
        <v>-20000</v>
      </c>
      <c r="F16" s="3">
        <f t="shared" si="6"/>
        <v>-25842.400000000001</v>
      </c>
      <c r="G16" s="1">
        <f>-32240+7040</f>
        <v>-25200</v>
      </c>
      <c r="K16" s="3">
        <f t="shared" si="7"/>
        <v>-25200</v>
      </c>
      <c r="Q16" s="14">
        <f t="shared" si="8"/>
        <v>-51042.399999999994</v>
      </c>
      <c r="R16" s="17">
        <f t="shared" si="9"/>
        <v>0.72917714285714275</v>
      </c>
      <c r="S16" s="9">
        <v>-70000</v>
      </c>
      <c r="T16" s="16">
        <v>-38058</v>
      </c>
    </row>
    <row r="17" spans="1:20" ht="21.95" customHeight="1" x14ac:dyDescent="0.2">
      <c r="A17" t="s">
        <v>18</v>
      </c>
      <c r="B17" s="1">
        <v>-1380</v>
      </c>
      <c r="C17" s="1">
        <v>-4260</v>
      </c>
      <c r="D17" s="1">
        <f>500-895.2</f>
        <v>-395.20000000000005</v>
      </c>
      <c r="E17" s="1">
        <v>-3904.8</v>
      </c>
      <c r="F17" s="3">
        <f t="shared" si="6"/>
        <v>-9940</v>
      </c>
      <c r="G17" s="1">
        <v>-1420</v>
      </c>
      <c r="I17" s="1">
        <v>-5905.6</v>
      </c>
      <c r="K17" s="3">
        <f t="shared" si="7"/>
        <v>-7325.6</v>
      </c>
      <c r="Q17" s="14">
        <f t="shared" si="8"/>
        <v>-17265.599999999999</v>
      </c>
      <c r="R17" s="17">
        <f t="shared" si="9"/>
        <v>0.4933028571428571</v>
      </c>
      <c r="S17" s="9">
        <v>-35000</v>
      </c>
      <c r="T17" s="16">
        <v>-24446</v>
      </c>
    </row>
    <row r="18" spans="1:20" ht="21.95" customHeight="1" x14ac:dyDescent="0.2">
      <c r="A18" t="s">
        <v>23</v>
      </c>
      <c r="C18" s="1">
        <f>-17250.4+9750</f>
        <v>-7500.4000000000015</v>
      </c>
      <c r="E18" s="1">
        <v>-10000</v>
      </c>
      <c r="F18" s="3">
        <f t="shared" si="6"/>
        <v>-17500.400000000001</v>
      </c>
      <c r="G18" s="1">
        <f>-7040-3649</f>
        <v>-10689</v>
      </c>
      <c r="H18" s="1">
        <f>-84315+18750</f>
        <v>-65565</v>
      </c>
      <c r="K18" s="3">
        <f t="shared" si="7"/>
        <v>-76254</v>
      </c>
      <c r="Q18" s="14">
        <f t="shared" si="8"/>
        <v>-93754.4</v>
      </c>
      <c r="R18" s="17">
        <f t="shared" si="9"/>
        <v>1.1719299999999999</v>
      </c>
      <c r="S18" s="9">
        <v>-80000</v>
      </c>
      <c r="T18" s="16">
        <v>-23000</v>
      </c>
    </row>
    <row r="19" spans="1:20" ht="21.95" customHeight="1" x14ac:dyDescent="0.2">
      <c r="A19" t="s">
        <v>26</v>
      </c>
      <c r="C19" s="1">
        <v>-9750</v>
      </c>
      <c r="F19" s="3">
        <f t="shared" si="6"/>
        <v>-9750</v>
      </c>
      <c r="H19" s="1">
        <v>-18750</v>
      </c>
      <c r="K19" s="3">
        <f t="shared" si="7"/>
        <v>-18750</v>
      </c>
      <c r="Q19" s="14">
        <f t="shared" si="8"/>
        <v>-28500</v>
      </c>
      <c r="R19" s="17">
        <f t="shared" si="9"/>
        <v>0.28499999999999998</v>
      </c>
      <c r="S19" s="9">
        <v>-100000</v>
      </c>
      <c r="T19" s="16">
        <v>-31500</v>
      </c>
    </row>
    <row r="20" spans="1:20" ht="21.95" customHeight="1" x14ac:dyDescent="0.2">
      <c r="A20" t="s">
        <v>27</v>
      </c>
      <c r="F20" s="3">
        <f t="shared" si="6"/>
        <v>0</v>
      </c>
      <c r="J20" s="1">
        <v>-9750</v>
      </c>
      <c r="K20" s="3">
        <f t="shared" si="7"/>
        <v>-9750</v>
      </c>
      <c r="Q20" s="14">
        <f t="shared" si="8"/>
        <v>-9750</v>
      </c>
      <c r="R20" s="17">
        <f t="shared" si="9"/>
        <v>0.39</v>
      </c>
      <c r="S20" s="9">
        <v>-25000</v>
      </c>
      <c r="T20" s="16">
        <v>0</v>
      </c>
    </row>
    <row r="21" spans="1:20" ht="21.95" customHeight="1" x14ac:dyDescent="0.2">
      <c r="A21" t="s">
        <v>28</v>
      </c>
      <c r="F21" s="3">
        <f t="shared" si="6"/>
        <v>0</v>
      </c>
      <c r="K21" s="3">
        <f t="shared" si="7"/>
        <v>0</v>
      </c>
      <c r="Q21" s="14">
        <f t="shared" si="8"/>
        <v>0</v>
      </c>
      <c r="R21" s="17">
        <f t="shared" si="9"/>
        <v>0</v>
      </c>
      <c r="S21" s="9">
        <v>-65000</v>
      </c>
      <c r="T21" s="16">
        <v>-59000</v>
      </c>
    </row>
    <row r="22" spans="1:20" ht="21.95" customHeight="1" x14ac:dyDescent="0.2">
      <c r="A22" t="s">
        <v>29</v>
      </c>
      <c r="F22" s="3">
        <f t="shared" si="6"/>
        <v>0</v>
      </c>
      <c r="K22" s="3">
        <f t="shared" si="7"/>
        <v>0</v>
      </c>
      <c r="Q22" s="14">
        <f t="shared" si="8"/>
        <v>0</v>
      </c>
      <c r="R22" s="17">
        <f t="shared" si="9"/>
        <v>0</v>
      </c>
      <c r="S22" s="9">
        <v>-40000</v>
      </c>
      <c r="T22" s="16">
        <v>0</v>
      </c>
    </row>
    <row r="23" spans="1:20" ht="21.95" customHeight="1" x14ac:dyDescent="0.2">
      <c r="A23" t="s">
        <v>20</v>
      </c>
      <c r="B23" s="1">
        <f>-16-271.97-995.18-1250-0.95</f>
        <v>-2534.1</v>
      </c>
      <c r="C23" s="1">
        <v>-1236.67</v>
      </c>
      <c r="D23" s="1">
        <f>-650-425+0.79</f>
        <v>-1074.21</v>
      </c>
      <c r="E23" s="1">
        <f>-267-408.93</f>
        <v>-675.93000000000006</v>
      </c>
      <c r="F23" s="3">
        <f t="shared" si="6"/>
        <v>-5520.91</v>
      </c>
      <c r="G23" s="1">
        <f>-199.19-4458+3649</f>
        <v>-1008.1899999999996</v>
      </c>
      <c r="H23" s="1">
        <v>-3820</v>
      </c>
      <c r="I23" s="1">
        <f>-1212.5-283</f>
        <v>-1495.5</v>
      </c>
      <c r="J23" s="1">
        <f>-622.8</f>
        <v>-622.79999999999995</v>
      </c>
      <c r="K23" s="3">
        <f t="shared" si="7"/>
        <v>-6946.49</v>
      </c>
      <c r="Q23" s="14">
        <f>SUM(B23:O23)-D23-K23</f>
        <v>-16914.099999999999</v>
      </c>
      <c r="R23" s="17">
        <f t="shared" si="9"/>
        <v>0.67656399999999994</v>
      </c>
      <c r="S23" s="9">
        <v>-25000</v>
      </c>
      <c r="T23" s="16">
        <v>-10240</v>
      </c>
    </row>
    <row r="24" spans="1:20" s="2" customFormat="1" ht="21.95" customHeight="1" x14ac:dyDescent="0.2">
      <c r="A24" s="2" t="s">
        <v>21</v>
      </c>
      <c r="B24" s="3">
        <f>SUM(B12:B23)</f>
        <v>-86989.1</v>
      </c>
      <c r="C24" s="3">
        <f>SUM(C12:C23)</f>
        <v>-158373.61000000002</v>
      </c>
      <c r="D24" s="3">
        <f>SUM(D12:D23)</f>
        <v>-103228.89</v>
      </c>
      <c r="E24" s="3">
        <f>SUM(E12:E23)</f>
        <v>-222701.87999999998</v>
      </c>
      <c r="F24" s="3">
        <f t="shared" ref="F24:F25" si="10">SUM(B24:E24)</f>
        <v>-571293.48</v>
      </c>
      <c r="G24" s="3">
        <f t="shared" ref="G24:P24" si="11">SUM(G12:G23)</f>
        <v>-57427.590000000004</v>
      </c>
      <c r="H24" s="3">
        <f t="shared" si="11"/>
        <v>-349076.77</v>
      </c>
      <c r="I24" s="3">
        <f t="shared" si="11"/>
        <v>-61351.18</v>
      </c>
      <c r="J24" s="3">
        <f t="shared" si="11"/>
        <v>-38013.200000000004</v>
      </c>
      <c r="K24" s="3">
        <f t="shared" si="11"/>
        <v>-505868.74</v>
      </c>
      <c r="L24" s="3">
        <f t="shared" si="11"/>
        <v>0</v>
      </c>
      <c r="M24" s="3">
        <f t="shared" si="11"/>
        <v>0</v>
      </c>
      <c r="N24" s="3">
        <f t="shared" si="11"/>
        <v>0</v>
      </c>
      <c r="O24" s="3">
        <f t="shared" si="11"/>
        <v>0</v>
      </c>
      <c r="P24" s="3">
        <f t="shared" si="11"/>
        <v>0</v>
      </c>
      <c r="Q24" s="14">
        <f>SUM(B24:O24)-F24-K24</f>
        <v>-1077162.22</v>
      </c>
      <c r="R24" s="17">
        <f t="shared" si="9"/>
        <v>0.57602257754010688</v>
      </c>
      <c r="S24" s="10">
        <f>SUM(S12:S23)</f>
        <v>-1870000</v>
      </c>
      <c r="T24" s="11">
        <f>SUM(T12:T23)</f>
        <v>-1507881</v>
      </c>
    </row>
    <row r="25" spans="1:20" s="2" customFormat="1" ht="21.95" customHeight="1" x14ac:dyDescent="0.2">
      <c r="A25" s="2" t="s">
        <v>39</v>
      </c>
      <c r="B25" s="3">
        <f>B9+B24</f>
        <v>1634970.9</v>
      </c>
      <c r="C25" s="3">
        <f>C9+C24</f>
        <v>-148373.61000000002</v>
      </c>
      <c r="D25" s="3">
        <f>D9+D24</f>
        <v>-33513.89</v>
      </c>
      <c r="E25" s="3">
        <f>E9+E24</f>
        <v>-222701.87999999998</v>
      </c>
      <c r="F25" s="3">
        <f t="shared" si="10"/>
        <v>1230381.52</v>
      </c>
      <c r="G25" s="3">
        <f t="shared" ref="G25:O25" si="12">G9+G24</f>
        <v>-57427.590000000004</v>
      </c>
      <c r="H25" s="3">
        <f t="shared" si="12"/>
        <v>-349076.77</v>
      </c>
      <c r="I25" s="3">
        <f t="shared" si="12"/>
        <v>-61351.18</v>
      </c>
      <c r="J25" s="3">
        <f t="shared" si="12"/>
        <v>-27672.200000000004</v>
      </c>
      <c r="K25" s="3">
        <f t="shared" si="12"/>
        <v>-495527.74</v>
      </c>
      <c r="L25" s="3">
        <f t="shared" si="12"/>
        <v>0</v>
      </c>
      <c r="M25" s="3">
        <f t="shared" si="12"/>
        <v>0</v>
      </c>
      <c r="N25" s="3">
        <f t="shared" si="12"/>
        <v>0</v>
      </c>
      <c r="O25" s="3">
        <f t="shared" si="12"/>
        <v>0</v>
      </c>
      <c r="P25" s="3"/>
      <c r="Q25" s="14">
        <f>SUM(B25:O25)-F25-K25</f>
        <v>734853.78000000026</v>
      </c>
      <c r="R25" s="17"/>
      <c r="S25" s="10">
        <f>SUM(S9+S24)</f>
        <v>-152000</v>
      </c>
      <c r="T25" s="11">
        <f>SUM(T9+T24)</f>
        <v>-193686</v>
      </c>
    </row>
    <row r="26" spans="1:20" x14ac:dyDescent="0.2">
      <c r="A26" s="6" t="s">
        <v>25</v>
      </c>
      <c r="Q26" s="14"/>
      <c r="S26" s="9"/>
      <c r="T26" s="12"/>
    </row>
    <row r="27" spans="1:20" x14ac:dyDescent="0.2">
      <c r="A27" s="6"/>
    </row>
    <row r="28" spans="1:20" x14ac:dyDescent="0.2">
      <c r="A28" s="7" t="s">
        <v>47</v>
      </c>
    </row>
    <row r="29" spans="1:20" x14ac:dyDescent="0.2">
      <c r="O29" s="5" t="s">
        <v>31</v>
      </c>
      <c r="P29" s="5"/>
    </row>
  </sheetData>
  <printOptions gridLines="1"/>
  <pageMargins left="0.31496062992125984" right="0.31496062992125984" top="0.94488188976377963" bottom="0.35433070866141736" header="0.31496062992125984" footer="0.31496062992125984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workbookViewId="0">
      <selection activeCell="O35" sqref="O35"/>
    </sheetView>
  </sheetViews>
  <sheetFormatPr defaultRowHeight="12.75" x14ac:dyDescent="0.2"/>
  <cols>
    <col min="1" max="1" width="20" customWidth="1"/>
    <col min="2" max="5" width="9.140625" style="1" customWidth="1"/>
    <col min="6" max="11" width="9.140625" style="1"/>
    <col min="12" max="12" width="11.5703125" style="1" customWidth="1"/>
    <col min="13" max="13" width="9.140625" style="1"/>
    <col min="14" max="14" width="10.28515625" style="1" bestFit="1" customWidth="1"/>
    <col min="15" max="16" width="10.5703125" style="1" customWidth="1"/>
    <col min="17" max="17" width="10" style="1" bestFit="1" customWidth="1"/>
    <col min="18" max="18" width="9.28515625" bestFit="1" customWidth="1"/>
    <col min="19" max="19" width="12" bestFit="1" customWidth="1"/>
    <col min="20" max="20" width="10.28515625" style="1" bestFit="1" customWidth="1"/>
  </cols>
  <sheetData>
    <row r="1" spans="1:20" ht="23.25" x14ac:dyDescent="0.35">
      <c r="A1" s="4" t="s">
        <v>33</v>
      </c>
    </row>
    <row r="4" spans="1:20" s="2" customFormat="1" ht="21.95" customHeight="1" x14ac:dyDescent="0.2">
      <c r="B4" s="3" t="s">
        <v>4</v>
      </c>
      <c r="C4" s="3" t="s">
        <v>3</v>
      </c>
      <c r="D4" s="3" t="s">
        <v>5</v>
      </c>
      <c r="E4" s="3" t="s">
        <v>6</v>
      </c>
      <c r="F4" s="3" t="s">
        <v>37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38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40</v>
      </c>
      <c r="Q4" s="13" t="s">
        <v>36</v>
      </c>
      <c r="R4" s="2" t="s">
        <v>32</v>
      </c>
      <c r="S4" s="8" t="s">
        <v>35</v>
      </c>
      <c r="T4" s="11" t="s">
        <v>34</v>
      </c>
    </row>
    <row r="5" spans="1:20" ht="21.95" customHeight="1" x14ac:dyDescent="0.2">
      <c r="A5" s="2" t="s">
        <v>0</v>
      </c>
      <c r="Q5" s="14"/>
      <c r="S5" s="9"/>
      <c r="T5" s="12"/>
    </row>
    <row r="6" spans="1:20" ht="21.95" customHeight="1" x14ac:dyDescent="0.2">
      <c r="A6" t="s">
        <v>2</v>
      </c>
      <c r="B6" s="1">
        <v>1229550</v>
      </c>
      <c r="D6" s="1">
        <v>54600</v>
      </c>
      <c r="E6" s="1">
        <v>11000</v>
      </c>
      <c r="F6" s="1">
        <f>SUM(B6:E6)</f>
        <v>1295150</v>
      </c>
      <c r="Q6" s="14">
        <f>SUM(B6:O6)-F6-K6</f>
        <v>1295150</v>
      </c>
      <c r="R6" s="17">
        <f>SUM(Q6/S6)</f>
        <v>1.0297356390379646</v>
      </c>
      <c r="S6" s="9">
        <f>1273750-16000</f>
        <v>1257750</v>
      </c>
      <c r="T6" s="12">
        <v>1229550</v>
      </c>
    </row>
    <row r="7" spans="1:20" ht="21.95" customHeight="1" x14ac:dyDescent="0.2">
      <c r="A7" t="s">
        <v>1</v>
      </c>
      <c r="B7" s="1">
        <v>11250</v>
      </c>
      <c r="D7" s="1">
        <v>5750</v>
      </c>
      <c r="E7" s="1">
        <v>1000</v>
      </c>
      <c r="F7" s="1">
        <f t="shared" ref="F7:F9" si="0">SUM(B7:E7)</f>
        <v>18000</v>
      </c>
      <c r="Q7" s="14">
        <f t="shared" ref="Q7:Q8" si="1">SUM(B7:O7)-F7-K7</f>
        <v>18000</v>
      </c>
      <c r="R7" s="17">
        <f t="shared" ref="R7" si="2">SUM(Q7/S7)</f>
        <v>1.125</v>
      </c>
      <c r="S7" s="9">
        <v>16000</v>
      </c>
      <c r="T7" s="12">
        <v>11500</v>
      </c>
    </row>
    <row r="8" spans="1:20" ht="21.95" customHeight="1" x14ac:dyDescent="0.2">
      <c r="A8" t="s">
        <v>22</v>
      </c>
      <c r="B8" s="1">
        <v>4.5</v>
      </c>
      <c r="D8" s="1">
        <v>1040</v>
      </c>
      <c r="F8" s="1">
        <f t="shared" si="0"/>
        <v>1044.5</v>
      </c>
      <c r="Q8" s="14">
        <f t="shared" si="1"/>
        <v>1044.5</v>
      </c>
      <c r="R8" s="17"/>
      <c r="S8" s="9">
        <v>0</v>
      </c>
      <c r="T8" s="12">
        <v>4877</v>
      </c>
    </row>
    <row r="9" spans="1:20" s="2" customFormat="1" ht="21.95" customHeight="1" x14ac:dyDescent="0.2">
      <c r="A9" s="2" t="s">
        <v>21</v>
      </c>
      <c r="B9" s="3">
        <f t="shared" ref="B9:O9" si="3">SUM(B6:B8)</f>
        <v>1240804.5</v>
      </c>
      <c r="C9" s="3">
        <f t="shared" si="3"/>
        <v>0</v>
      </c>
      <c r="D9" s="3">
        <f t="shared" si="3"/>
        <v>61390</v>
      </c>
      <c r="E9" s="3">
        <f t="shared" si="3"/>
        <v>12000</v>
      </c>
      <c r="F9" s="1">
        <f t="shared" si="0"/>
        <v>1314194.5</v>
      </c>
      <c r="G9" s="3">
        <f t="shared" si="3"/>
        <v>0</v>
      </c>
      <c r="H9" s="3">
        <f t="shared" si="3"/>
        <v>0</v>
      </c>
      <c r="I9" s="3">
        <f t="shared" si="3"/>
        <v>0</v>
      </c>
      <c r="J9" s="3">
        <f t="shared" si="3"/>
        <v>0</v>
      </c>
      <c r="K9" s="3">
        <f t="shared" si="3"/>
        <v>0</v>
      </c>
      <c r="L9" s="3">
        <f t="shared" si="3"/>
        <v>0</v>
      </c>
      <c r="M9" s="3">
        <f t="shared" si="3"/>
        <v>0</v>
      </c>
      <c r="N9" s="3">
        <f t="shared" si="3"/>
        <v>0</v>
      </c>
      <c r="O9" s="3">
        <f t="shared" si="3"/>
        <v>0</v>
      </c>
      <c r="P9" s="3">
        <v>0</v>
      </c>
      <c r="Q9" s="14">
        <f>SUM(B9:O9)-F9</f>
        <v>1314194.5</v>
      </c>
      <c r="R9" s="18">
        <f>SUM(Q9/S9)</f>
        <v>1.031752306182532</v>
      </c>
      <c r="S9" s="8">
        <f>SUM(S6:S8)</f>
        <v>1273750</v>
      </c>
      <c r="T9" s="11">
        <f>SUM(T6:T8)</f>
        <v>1245927</v>
      </c>
    </row>
    <row r="10" spans="1:20" ht="21.95" customHeight="1" x14ac:dyDescent="0.2">
      <c r="Q10" s="14"/>
      <c r="S10" s="9"/>
      <c r="T10" s="12"/>
    </row>
    <row r="11" spans="1:20" ht="21.95" customHeight="1" x14ac:dyDescent="0.2">
      <c r="A11" s="2" t="s">
        <v>15</v>
      </c>
      <c r="Q11" s="14"/>
      <c r="S11" s="9"/>
      <c r="T11" s="12"/>
    </row>
    <row r="12" spans="1:20" ht="21.95" customHeight="1" x14ac:dyDescent="0.2">
      <c r="A12" t="s">
        <v>16</v>
      </c>
      <c r="B12" s="1">
        <v>-11550</v>
      </c>
      <c r="C12" s="1">
        <v>-11550</v>
      </c>
      <c r="D12" s="1">
        <v>-11550</v>
      </c>
      <c r="E12" s="1">
        <v>-11200</v>
      </c>
      <c r="F12" s="1">
        <f>SUM(B12:E12)</f>
        <v>-45850</v>
      </c>
      <c r="G12" s="1">
        <v>-11200</v>
      </c>
      <c r="H12" s="1">
        <v>-11200</v>
      </c>
      <c r="I12" s="1">
        <v>-11200</v>
      </c>
      <c r="J12" s="1">
        <v>-11200</v>
      </c>
      <c r="K12" s="1">
        <f>SUM(G12:J12)</f>
        <v>-44800</v>
      </c>
      <c r="L12" s="1">
        <v>-11200</v>
      </c>
      <c r="M12" s="1">
        <v>-11200</v>
      </c>
      <c r="N12" s="1">
        <v>-11200</v>
      </c>
      <c r="O12" s="1">
        <v>-11200</v>
      </c>
      <c r="P12" s="1">
        <f>SUM(L12:O12)</f>
        <v>-44800</v>
      </c>
      <c r="Q12" s="14">
        <f>SUM(B12:O12)-F12-K12</f>
        <v>-135450</v>
      </c>
      <c r="R12" s="17">
        <f>SUM(Q12/S12)</f>
        <v>0.96750000000000003</v>
      </c>
      <c r="S12" s="9">
        <v>-140000</v>
      </c>
      <c r="T12" s="16">
        <v>-133320</v>
      </c>
    </row>
    <row r="13" spans="1:20" ht="21.95" customHeight="1" x14ac:dyDescent="0.2">
      <c r="A13" t="s">
        <v>17</v>
      </c>
      <c r="B13" s="1">
        <f>-1904.8-832</f>
        <v>-2736.8</v>
      </c>
      <c r="C13" s="1">
        <f>-130-461.61</f>
        <v>-591.61</v>
      </c>
      <c r="D13" s="1">
        <f>-1684-1758.93-443.39</f>
        <v>-3886.32</v>
      </c>
      <c r="E13" s="1">
        <f>-28.04-2108.93-130-233.03</f>
        <v>-2500</v>
      </c>
      <c r="F13" s="1">
        <f t="shared" ref="F13:F25" si="4">SUM(B13:E13)</f>
        <v>-9714.73</v>
      </c>
      <c r="G13" s="1">
        <f>-15-3581.73-7961.34-35-617.37</f>
        <v>-12210.44</v>
      </c>
      <c r="H13" s="1">
        <v>-5153.2</v>
      </c>
      <c r="I13" s="1">
        <f>-33.84-10-47.84-140</f>
        <v>-231.68</v>
      </c>
      <c r="J13" s="1">
        <f>-72.76-2388-140</f>
        <v>-2600.7600000000002</v>
      </c>
      <c r="K13" s="1">
        <f t="shared" ref="K13:K23" si="5">SUM(G13:J13)</f>
        <v>-20196.080000000002</v>
      </c>
      <c r="L13" s="1">
        <f>-542.15-180-5982.2-525.2</f>
        <v>-7229.5499999999993</v>
      </c>
      <c r="M13" s="1">
        <f>-663.82-33.6</f>
        <v>-697.42000000000007</v>
      </c>
      <c r="N13" s="1">
        <f>-112.84</f>
        <v>-112.84</v>
      </c>
      <c r="O13" s="1">
        <f>-190-5853.2-2757.76</f>
        <v>-8800.9599999999991</v>
      </c>
      <c r="P13" s="1">
        <f t="shared" ref="P13:P23" si="6">SUM(L13:O13)</f>
        <v>-16840.769999999997</v>
      </c>
      <c r="Q13" s="14">
        <f t="shared" ref="Q13:Q23" si="7">SUM(B13:O13)-F13-K13</f>
        <v>-46751.579999999987</v>
      </c>
      <c r="R13" s="17">
        <f t="shared" ref="R13:R24" si="8">SUM(Q13/S13)</f>
        <v>0.58439474999999985</v>
      </c>
      <c r="S13" s="9">
        <v>-80000</v>
      </c>
      <c r="T13" s="16">
        <v>-81242</v>
      </c>
    </row>
    <row r="14" spans="1:20" ht="21.95" customHeight="1" x14ac:dyDescent="0.2">
      <c r="A14" t="s">
        <v>24</v>
      </c>
      <c r="C14" s="1">
        <v>-44192</v>
      </c>
      <c r="D14" s="1">
        <v>-58050</v>
      </c>
      <c r="E14" s="1">
        <v>-277182</v>
      </c>
      <c r="F14" s="1">
        <f t="shared" si="4"/>
        <v>-379424</v>
      </c>
      <c r="G14" s="1">
        <v>-98706</v>
      </c>
      <c r="H14" s="1">
        <v>-90042</v>
      </c>
      <c r="I14" s="1">
        <v>-25863</v>
      </c>
      <c r="J14" s="1">
        <v>-62870</v>
      </c>
      <c r="K14" s="1">
        <f t="shared" si="5"/>
        <v>-277481</v>
      </c>
      <c r="L14" s="1">
        <v>-93288</v>
      </c>
      <c r="N14" s="1">
        <v>-105196</v>
      </c>
      <c r="O14" s="1">
        <f>-284046+14053</f>
        <v>-269993</v>
      </c>
      <c r="P14" s="1">
        <f t="shared" si="6"/>
        <v>-468477</v>
      </c>
      <c r="Q14" s="14">
        <f t="shared" si="7"/>
        <v>-1125382</v>
      </c>
      <c r="R14" s="17">
        <f t="shared" si="8"/>
        <v>0.93781833333333331</v>
      </c>
      <c r="S14" s="9">
        <v>-1200000</v>
      </c>
      <c r="T14" s="16">
        <v>-707444</v>
      </c>
    </row>
    <row r="15" spans="1:20" ht="21.95" customHeight="1" x14ac:dyDescent="0.2">
      <c r="A15" t="s">
        <v>19</v>
      </c>
      <c r="F15" s="1">
        <f t="shared" si="4"/>
        <v>0</v>
      </c>
      <c r="J15" s="1">
        <v>-22500</v>
      </c>
      <c r="K15" s="1">
        <f t="shared" si="5"/>
        <v>-22500</v>
      </c>
      <c r="M15" s="1">
        <f>-133.39</f>
        <v>-133.38999999999999</v>
      </c>
      <c r="N15" s="1">
        <v>-2824.8</v>
      </c>
      <c r="O15" s="1">
        <v>-12600</v>
      </c>
      <c r="P15" s="1">
        <f t="shared" si="6"/>
        <v>-15558.19</v>
      </c>
      <c r="Q15" s="14">
        <f t="shared" si="7"/>
        <v>-38058.19</v>
      </c>
      <c r="R15" s="17">
        <f t="shared" si="8"/>
        <v>0.50744253333333333</v>
      </c>
      <c r="S15" s="9">
        <v>-75000</v>
      </c>
      <c r="T15" s="16">
        <v>-50860</v>
      </c>
    </row>
    <row r="16" spans="1:20" ht="21.95" customHeight="1" x14ac:dyDescent="0.2">
      <c r="A16" t="s">
        <v>18</v>
      </c>
      <c r="C16" s="1">
        <v>-1380</v>
      </c>
      <c r="D16" s="1">
        <f>-1924.8+300</f>
        <v>-1624.8</v>
      </c>
      <c r="E16" s="1">
        <v>-4064.8</v>
      </c>
      <c r="F16" s="1">
        <f t="shared" si="4"/>
        <v>-7069.6</v>
      </c>
      <c r="G16" s="1">
        <v>-2760</v>
      </c>
      <c r="H16" s="1">
        <v>-2070.4</v>
      </c>
      <c r="J16" s="1">
        <v>-2540</v>
      </c>
      <c r="K16" s="1">
        <f t="shared" si="5"/>
        <v>-7370.4</v>
      </c>
      <c r="L16" s="1">
        <v>-3450.4</v>
      </c>
      <c r="M16" s="1">
        <v>-2760</v>
      </c>
      <c r="O16" s="1">
        <v>-3795.2</v>
      </c>
      <c r="P16" s="1">
        <f t="shared" si="6"/>
        <v>-10005.599999999999</v>
      </c>
      <c r="Q16" s="14">
        <f t="shared" si="7"/>
        <v>-24445.599999999999</v>
      </c>
      <c r="R16" s="17">
        <f t="shared" si="8"/>
        <v>0.69844571428571423</v>
      </c>
      <c r="S16" s="9">
        <v>-35000</v>
      </c>
      <c r="T16" s="16">
        <v>-31061</v>
      </c>
    </row>
    <row r="17" spans="1:20" ht="21.95" customHeight="1" x14ac:dyDescent="0.2">
      <c r="A17" t="s">
        <v>23</v>
      </c>
      <c r="F17" s="1">
        <f t="shared" si="4"/>
        <v>0</v>
      </c>
      <c r="K17" s="1">
        <f t="shared" si="5"/>
        <v>0</v>
      </c>
      <c r="M17" s="1">
        <f>-2500-8000</f>
        <v>-10500</v>
      </c>
      <c r="O17" s="1">
        <v>-14053</v>
      </c>
      <c r="P17" s="1">
        <f t="shared" si="6"/>
        <v>-24553</v>
      </c>
      <c r="Q17" s="14">
        <f t="shared" si="7"/>
        <v>-24553</v>
      </c>
      <c r="R17" s="17">
        <f t="shared" si="8"/>
        <v>0.24553</v>
      </c>
      <c r="S17" s="9">
        <v>-100000</v>
      </c>
      <c r="T17" s="16">
        <v>-27000</v>
      </c>
    </row>
    <row r="18" spans="1:20" ht="21.95" customHeight="1" x14ac:dyDescent="0.2">
      <c r="A18" t="s">
        <v>26</v>
      </c>
      <c r="F18" s="1">
        <f t="shared" si="4"/>
        <v>0</v>
      </c>
      <c r="K18" s="1">
        <f t="shared" si="5"/>
        <v>0</v>
      </c>
      <c r="O18" s="1">
        <v>-31500</v>
      </c>
      <c r="P18" s="1">
        <f t="shared" si="6"/>
        <v>-31500</v>
      </c>
      <c r="Q18" s="14">
        <f t="shared" si="7"/>
        <v>-31500</v>
      </c>
      <c r="R18" s="17">
        <f t="shared" si="8"/>
        <v>0.315</v>
      </c>
      <c r="S18" s="9">
        <v>-100000</v>
      </c>
      <c r="T18" s="15"/>
    </row>
    <row r="19" spans="1:20" ht="21.95" customHeight="1" x14ac:dyDescent="0.2">
      <c r="A19" t="s">
        <v>27</v>
      </c>
      <c r="F19" s="1">
        <f t="shared" si="4"/>
        <v>0</v>
      </c>
      <c r="K19" s="1">
        <f t="shared" si="5"/>
        <v>0</v>
      </c>
      <c r="P19" s="1">
        <f t="shared" si="6"/>
        <v>0</v>
      </c>
      <c r="Q19" s="14">
        <f t="shared" si="7"/>
        <v>0</v>
      </c>
      <c r="R19" s="17">
        <f t="shared" si="8"/>
        <v>0</v>
      </c>
      <c r="S19" s="9">
        <v>-25000</v>
      </c>
      <c r="T19" s="15"/>
    </row>
    <row r="20" spans="1:20" ht="21.95" customHeight="1" x14ac:dyDescent="0.2">
      <c r="A20" t="s">
        <v>28</v>
      </c>
      <c r="B20" s="1">
        <v>-4000</v>
      </c>
      <c r="F20" s="1">
        <f t="shared" si="4"/>
        <v>-4000</v>
      </c>
      <c r="G20" s="1">
        <v>-5000</v>
      </c>
      <c r="J20" s="1">
        <v>-50000</v>
      </c>
      <c r="K20" s="1">
        <f t="shared" si="5"/>
        <v>-55000</v>
      </c>
      <c r="P20" s="1">
        <f t="shared" si="6"/>
        <v>0</v>
      </c>
      <c r="Q20" s="14">
        <f t="shared" si="7"/>
        <v>-59000</v>
      </c>
      <c r="R20" s="17">
        <f t="shared" si="8"/>
        <v>0.78666666666666663</v>
      </c>
      <c r="S20" s="9">
        <v>-75000</v>
      </c>
      <c r="T20" s="16">
        <v>-114000</v>
      </c>
    </row>
    <row r="21" spans="1:20" ht="21.95" customHeight="1" x14ac:dyDescent="0.2">
      <c r="A21" t="s">
        <v>30</v>
      </c>
      <c r="F21" s="1">
        <f t="shared" si="4"/>
        <v>0</v>
      </c>
      <c r="K21" s="1">
        <f t="shared" si="5"/>
        <v>0</v>
      </c>
      <c r="M21" s="1">
        <v>-12500</v>
      </c>
      <c r="P21" s="1">
        <f t="shared" si="6"/>
        <v>-12500</v>
      </c>
      <c r="Q21" s="14">
        <f t="shared" si="7"/>
        <v>-12500</v>
      </c>
      <c r="R21" s="17"/>
      <c r="S21" s="9">
        <v>0</v>
      </c>
      <c r="T21" s="16">
        <v>0</v>
      </c>
    </row>
    <row r="22" spans="1:20" ht="21.95" customHeight="1" x14ac:dyDescent="0.2">
      <c r="A22" t="s">
        <v>29</v>
      </c>
      <c r="F22" s="1">
        <f t="shared" si="4"/>
        <v>0</v>
      </c>
      <c r="K22" s="1">
        <f t="shared" si="5"/>
        <v>0</v>
      </c>
      <c r="P22" s="1">
        <f t="shared" si="6"/>
        <v>0</v>
      </c>
      <c r="Q22" s="14">
        <f t="shared" si="7"/>
        <v>0</v>
      </c>
      <c r="R22" s="17">
        <f t="shared" si="8"/>
        <v>0</v>
      </c>
      <c r="S22" s="9">
        <v>-75000</v>
      </c>
      <c r="T22" s="16">
        <v>-40257</v>
      </c>
    </row>
    <row r="23" spans="1:20" ht="21.95" customHeight="1" x14ac:dyDescent="0.2">
      <c r="A23" t="s">
        <v>20</v>
      </c>
      <c r="B23" s="1">
        <v>-1250</v>
      </c>
      <c r="D23" s="1">
        <v>-425</v>
      </c>
      <c r="E23" s="1">
        <f>-180-100</f>
        <v>-280</v>
      </c>
      <c r="F23" s="1">
        <f t="shared" si="4"/>
        <v>-1955</v>
      </c>
      <c r="G23" s="1">
        <f>-3566.08-354</f>
        <v>-3920.08</v>
      </c>
      <c r="I23" s="1">
        <v>-682.41</v>
      </c>
      <c r="K23" s="1">
        <f t="shared" si="5"/>
        <v>-4602.49</v>
      </c>
      <c r="M23" s="1">
        <f>-397.32-1050-25.62-25</f>
        <v>-1497.9399999999998</v>
      </c>
      <c r="N23" s="1">
        <v>-140</v>
      </c>
      <c r="O23" s="1">
        <v>-2044.8</v>
      </c>
      <c r="P23" s="1">
        <f t="shared" si="6"/>
        <v>-3682.74</v>
      </c>
      <c r="Q23" s="14">
        <f t="shared" si="7"/>
        <v>-10240.230000000001</v>
      </c>
      <c r="R23" s="17">
        <f t="shared" si="8"/>
        <v>0.40960920000000006</v>
      </c>
      <c r="S23" s="9">
        <v>-25000</v>
      </c>
      <c r="T23" s="16">
        <v>-8720</v>
      </c>
    </row>
    <row r="24" spans="1:20" s="2" customFormat="1" ht="21.95" customHeight="1" x14ac:dyDescent="0.2">
      <c r="A24" s="2" t="s">
        <v>21</v>
      </c>
      <c r="B24" s="3">
        <f t="shared" ref="B24:O24" si="9">SUM(B12:B23)</f>
        <v>-19536.8</v>
      </c>
      <c r="C24" s="3">
        <f t="shared" si="9"/>
        <v>-57713.61</v>
      </c>
      <c r="D24" s="3">
        <f t="shared" si="9"/>
        <v>-75536.12000000001</v>
      </c>
      <c r="E24" s="3">
        <f t="shared" si="9"/>
        <v>-295226.8</v>
      </c>
      <c r="F24" s="3">
        <f t="shared" si="4"/>
        <v>-448013.33</v>
      </c>
      <c r="G24" s="3">
        <f t="shared" si="9"/>
        <v>-133796.51999999999</v>
      </c>
      <c r="H24" s="3">
        <f t="shared" si="9"/>
        <v>-108465.59999999999</v>
      </c>
      <c r="I24" s="3">
        <f t="shared" si="9"/>
        <v>-37977.090000000004</v>
      </c>
      <c r="J24" s="3">
        <f t="shared" si="9"/>
        <v>-151710.76</v>
      </c>
      <c r="K24" s="3">
        <f t="shared" si="9"/>
        <v>-431949.97000000003</v>
      </c>
      <c r="L24" s="3">
        <f t="shared" si="9"/>
        <v>-115167.95</v>
      </c>
      <c r="M24" s="3">
        <f t="shared" si="9"/>
        <v>-39288.75</v>
      </c>
      <c r="N24" s="3">
        <f t="shared" si="9"/>
        <v>-119473.64</v>
      </c>
      <c r="O24" s="3">
        <f t="shared" si="9"/>
        <v>-353986.96</v>
      </c>
      <c r="P24" s="3">
        <f>SUM(P12:P23)</f>
        <v>-627917.29999999993</v>
      </c>
      <c r="Q24" s="14">
        <f>SUM(B24:O24)-F24-K24</f>
        <v>-1507880.5999999999</v>
      </c>
      <c r="R24" s="17">
        <f t="shared" si="8"/>
        <v>0.78128528497409322</v>
      </c>
      <c r="S24" s="10">
        <f>SUM(S12:S23)</f>
        <v>-1930000</v>
      </c>
      <c r="T24" s="11">
        <f>SUM(T12:T23)</f>
        <v>-1193904</v>
      </c>
    </row>
    <row r="25" spans="1:20" s="2" customFormat="1" ht="21.95" customHeight="1" x14ac:dyDescent="0.2">
      <c r="A25" s="2" t="s">
        <v>39</v>
      </c>
      <c r="B25" s="3">
        <f t="shared" ref="B25:O25" si="10">B9+B24</f>
        <v>1221267.7</v>
      </c>
      <c r="C25" s="3">
        <f t="shared" si="10"/>
        <v>-57713.61</v>
      </c>
      <c r="D25" s="3">
        <f t="shared" si="10"/>
        <v>-14146.12000000001</v>
      </c>
      <c r="E25" s="3">
        <f t="shared" si="10"/>
        <v>-283226.8</v>
      </c>
      <c r="F25" s="3">
        <f t="shared" si="4"/>
        <v>866181.16999999969</v>
      </c>
      <c r="G25" s="3">
        <f t="shared" si="10"/>
        <v>-133796.51999999999</v>
      </c>
      <c r="H25" s="3">
        <f t="shared" si="10"/>
        <v>-108465.59999999999</v>
      </c>
      <c r="I25" s="3">
        <f t="shared" si="10"/>
        <v>-37977.090000000004</v>
      </c>
      <c r="J25" s="3">
        <f t="shared" si="10"/>
        <v>-151710.76</v>
      </c>
      <c r="K25" s="3">
        <f t="shared" si="10"/>
        <v>-431949.97000000003</v>
      </c>
      <c r="L25" s="3">
        <f t="shared" si="10"/>
        <v>-115167.95</v>
      </c>
      <c r="M25" s="3">
        <f t="shared" si="10"/>
        <v>-39288.75</v>
      </c>
      <c r="N25" s="3">
        <f t="shared" si="10"/>
        <v>-119473.64</v>
      </c>
      <c r="O25" s="3">
        <f t="shared" si="10"/>
        <v>-353986.96</v>
      </c>
      <c r="P25" s="3"/>
      <c r="Q25" s="14">
        <f>SUM(B25:O25)-F25-K25</f>
        <v>-193686.1000000005</v>
      </c>
      <c r="R25" s="17"/>
      <c r="S25" s="10">
        <f>SUM(S9+S24)</f>
        <v>-656250</v>
      </c>
      <c r="T25" s="11">
        <v>52023</v>
      </c>
    </row>
    <row r="26" spans="1:20" x14ac:dyDescent="0.2">
      <c r="A26" s="6" t="s">
        <v>25</v>
      </c>
      <c r="E26" s="1">
        <v>-1025</v>
      </c>
      <c r="I26" s="1">
        <v>-5</v>
      </c>
      <c r="O26" s="1">
        <v>202</v>
      </c>
      <c r="Q26" s="14"/>
      <c r="S26" s="9"/>
      <c r="T26" s="12"/>
    </row>
    <row r="27" spans="1:20" x14ac:dyDescent="0.2">
      <c r="A27" s="6"/>
    </row>
    <row r="28" spans="1:20" x14ac:dyDescent="0.2">
      <c r="A28" s="7" t="s">
        <v>46</v>
      </c>
    </row>
    <row r="29" spans="1:20" x14ac:dyDescent="0.2">
      <c r="O29" s="5" t="s">
        <v>31</v>
      </c>
      <c r="P29" s="5"/>
    </row>
  </sheetData>
  <printOptions gridLines="1"/>
  <pageMargins left="0.31496062992125984" right="0.31496062992125984" top="0.94488188976377963" bottom="0.35433070866141736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2018</vt:lpstr>
      <vt:lpstr>2017</vt:lpstr>
      <vt:lpstr>Blad2</vt:lpstr>
      <vt:lpstr>Blad3</vt:lpstr>
    </vt:vector>
  </TitlesOfParts>
  <Company>ADP Network Scandinavia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 Network</dc:creator>
  <cp:lastModifiedBy>Catarina</cp:lastModifiedBy>
  <cp:lastPrinted>2018-02-05T13:14:58Z</cp:lastPrinted>
  <dcterms:created xsi:type="dcterms:W3CDTF">2011-03-17T09:49:45Z</dcterms:created>
  <dcterms:modified xsi:type="dcterms:W3CDTF">2018-09-17T13:16:10Z</dcterms:modified>
</cp:coreProperties>
</file>